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ES_Applicatio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R32" i="1" l="1"/>
  <c r="Q32" i="1"/>
  <c r="Q26" i="1"/>
  <c r="Q27" i="1"/>
  <c r="Q25" i="1"/>
  <c r="O30" i="1"/>
  <c r="P30" i="1"/>
  <c r="N30" i="1"/>
  <c r="F18" i="1"/>
  <c r="G18" i="1"/>
  <c r="H18" i="1"/>
  <c r="I18" i="1"/>
  <c r="S18" i="1"/>
  <c r="S7" i="1"/>
  <c r="S8" i="1"/>
  <c r="S9" i="1"/>
  <c r="S10" i="1"/>
  <c r="S11" i="1"/>
  <c r="S12" i="1"/>
  <c r="S13" i="1"/>
  <c r="S14" i="1"/>
  <c r="S15" i="1"/>
  <c r="S16" i="1"/>
  <c r="S17" i="1"/>
  <c r="S6" i="1"/>
  <c r="I17" i="1"/>
  <c r="I15" i="1"/>
  <c r="I13" i="1"/>
  <c r="I11" i="1"/>
  <c r="I7" i="1"/>
  <c r="Q28" i="1" l="1"/>
  <c r="L18" i="1"/>
  <c r="K18" i="1"/>
  <c r="J18" i="1"/>
  <c r="O18" i="1"/>
  <c r="P18" i="1"/>
  <c r="N28" i="1" l="1"/>
  <c r="N18" i="1"/>
  <c r="H17" i="1"/>
  <c r="H15" i="1"/>
  <c r="H13" i="1"/>
  <c r="H11" i="1"/>
  <c r="H7" i="1"/>
  <c r="O20" i="1" l="1"/>
  <c r="N20" i="1"/>
  <c r="P20" i="1"/>
  <c r="P23" i="1" s="1"/>
  <c r="P27" i="1"/>
  <c r="O27" i="1"/>
  <c r="O26" i="1"/>
  <c r="N26" i="1"/>
  <c r="N25" i="1"/>
  <c r="P21" i="1"/>
  <c r="Q20" i="1" l="1"/>
  <c r="R20" i="1" s="1"/>
  <c r="H8" i="1"/>
  <c r="I8" i="1" s="1"/>
  <c r="H10" i="1"/>
  <c r="I10" i="1" s="1"/>
  <c r="H12" i="1"/>
  <c r="I12" i="1" s="1"/>
  <c r="H14" i="1"/>
  <c r="I14" i="1" s="1"/>
  <c r="H16" i="1"/>
  <c r="I16" i="1" s="1"/>
  <c r="H6" i="1"/>
  <c r="I6" i="1" s="1"/>
  <c r="O21" i="1" l="1"/>
  <c r="O23" i="1" s="1"/>
  <c r="M18" i="1"/>
  <c r="N21" i="1" l="1"/>
  <c r="Q21" i="1" s="1"/>
  <c r="R21" i="1" s="1"/>
  <c r="Q18" i="1"/>
  <c r="R18" i="1" s="1"/>
  <c r="M21" i="1"/>
  <c r="N23" i="1" l="1"/>
  <c r="Q23" i="1" s="1"/>
  <c r="R23" i="1" s="1"/>
  <c r="M23" i="1"/>
</calcChain>
</file>

<file path=xl/sharedStrings.xml><?xml version="1.0" encoding="utf-8"?>
<sst xmlns="http://schemas.openxmlformats.org/spreadsheetml/2006/main" count="46" uniqueCount="33">
  <si>
    <t>CP-BLK</t>
  </si>
  <si>
    <t>K070001</t>
  </si>
  <si>
    <t>Area (ha)</t>
  </si>
  <si>
    <t>K070002</t>
  </si>
  <si>
    <t>A075003</t>
  </si>
  <si>
    <t>K070003</t>
  </si>
  <si>
    <t>K070004</t>
  </si>
  <si>
    <t>Total:</t>
  </si>
  <si>
    <t>Fiscal Spending</t>
  </si>
  <si>
    <t>2018/19</t>
  </si>
  <si>
    <t>2019/20</t>
  </si>
  <si>
    <t>Financials</t>
  </si>
  <si>
    <t>2020/2021</t>
  </si>
  <si>
    <t>Treatment Area (ha)</t>
  </si>
  <si>
    <t>KALESNIKOFF PROFORMA ROLL-UP OF FUNDING REQUIRED TO PILE AND BURN RESIDUAL BIOMASS</t>
  </si>
  <si>
    <t>Treatment
Description</t>
  </si>
  <si>
    <t>Treatment
Cost $/ha</t>
  </si>
  <si>
    <t>Burning 
Cost $/ha</t>
  </si>
  <si>
    <t>Total
Cost $/ha</t>
  </si>
  <si>
    <t>Total
Cost $</t>
  </si>
  <si>
    <t>3% Administration:</t>
  </si>
  <si>
    <t>2021/22</t>
  </si>
  <si>
    <t xml:space="preserve">Hand </t>
  </si>
  <si>
    <t>Machine</t>
  </si>
  <si>
    <t>Burning</t>
  </si>
  <si>
    <t>10% Supervision on hand piling and burning:</t>
  </si>
  <si>
    <t>Fuel mng. Presc.</t>
  </si>
  <si>
    <t>Prescription</t>
  </si>
  <si>
    <t>Prescrip</t>
  </si>
  <si>
    <t>rough bunch, pile and  burn</t>
  </si>
  <si>
    <t>rough bunch, pile and burn</t>
  </si>
  <si>
    <t>$/ha</t>
  </si>
  <si>
    <t>hand, pile and 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</si>
</sst>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top"/>
    </xf>
    <xf numFmtId="44" fontId="0" fillId="0" borderId="0" xfId="1" applyFont="1"/>
    <xf numFmtId="0" fontId="2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4" fontId="0" fillId="0" borderId="0" xfId="0" applyNumberFormat="1" applyAlignment="1">
      <alignment horizontal="center" vertical="top"/>
    </xf>
    <xf numFmtId="44" fontId="0" fillId="0" borderId="0" xfId="1" applyFont="1" applyBorder="1"/>
    <xf numFmtId="44" fontId="0" fillId="0" borderId="2" xfId="1" applyFont="1" applyBorder="1"/>
    <xf numFmtId="0" fontId="0" fillId="0" borderId="2" xfId="0" applyBorder="1"/>
    <xf numFmtId="44" fontId="2" fillId="0" borderId="2" xfId="1" applyFont="1" applyBorder="1"/>
    <xf numFmtId="44" fontId="2" fillId="0" borderId="0" xfId="1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44" fontId="0" fillId="0" borderId="3" xfId="1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4" fontId="0" fillId="0" borderId="2" xfId="1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0" xfId="0" applyNumberFormat="1"/>
    <xf numFmtId="44" fontId="2" fillId="0" borderId="0" xfId="0" applyNumberFormat="1" applyFont="1"/>
    <xf numFmtId="0" fontId="2" fillId="0" borderId="2" xfId="0" applyFont="1" applyBorder="1" applyAlignment="1">
      <alignment horizontal="center"/>
    </xf>
    <xf numFmtId="44" fontId="0" fillId="0" borderId="5" xfId="1" applyFont="1" applyBorder="1"/>
    <xf numFmtId="44" fontId="2" fillId="0" borderId="0" xfId="0" applyNumberFormat="1" applyFont="1" applyBorder="1"/>
    <xf numFmtId="0" fontId="0" fillId="0" borderId="0" xfId="0" applyBorder="1"/>
    <xf numFmtId="44" fontId="2" fillId="0" borderId="2" xfId="0" applyNumberFormat="1" applyFont="1" applyBorder="1"/>
    <xf numFmtId="44" fontId="0" fillId="0" borderId="0" xfId="0" applyNumberFormat="1" applyBorder="1"/>
    <xf numFmtId="44" fontId="0" fillId="0" borderId="4" xfId="1" applyFont="1" applyBorder="1" applyAlignment="1">
      <alignment horizontal="center" vertical="top"/>
    </xf>
    <xf numFmtId="44" fontId="0" fillId="0" borderId="4" xfId="1" applyFont="1" applyBorder="1"/>
    <xf numFmtId="44" fontId="2" fillId="0" borderId="4" xfId="0" applyNumberFormat="1" applyFont="1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44" fontId="0" fillId="0" borderId="0" xfId="1" applyFont="1" applyBorder="1" applyAlignment="1">
      <alignment horizontal="center" vertical="top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2" fillId="0" borderId="4" xfId="1" applyFont="1" applyBorder="1"/>
    <xf numFmtId="44" fontId="2" fillId="0" borderId="6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2"/>
  <sheetViews>
    <sheetView tabSelected="1" zoomScaleNormal="100" workbookViewId="0">
      <selection activeCell="D38" sqref="D38"/>
    </sheetView>
  </sheetViews>
  <sheetFormatPr defaultRowHeight="15" x14ac:dyDescent="0.25"/>
  <cols>
    <col min="4" max="4" width="25.7109375" bestFit="1" customWidth="1"/>
    <col min="5" max="5" width="20.28515625" customWidth="1"/>
    <col min="6" max="7" width="10.5703125" bestFit="1" customWidth="1"/>
    <col min="8" max="8" width="10.28515625" customWidth="1"/>
    <col min="9" max="9" width="16" bestFit="1" customWidth="1"/>
    <col min="10" max="13" width="11.7109375" customWidth="1"/>
    <col min="14" max="14" width="12.5703125" bestFit="1" customWidth="1"/>
    <col min="15" max="16" width="11.7109375" customWidth="1"/>
    <col min="17" max="17" width="12.5703125" bestFit="1" customWidth="1"/>
    <col min="18" max="18" width="11.5703125" bestFit="1" customWidth="1"/>
    <col min="19" max="19" width="12.5703125" bestFit="1" customWidth="1"/>
  </cols>
  <sheetData>
    <row r="2" spans="2:19" x14ac:dyDescent="0.25">
      <c r="B2" s="3" t="s">
        <v>14</v>
      </c>
    </row>
    <row r="3" spans="2:19" x14ac:dyDescent="0.25">
      <c r="B3" s="3"/>
    </row>
    <row r="4" spans="2:19" x14ac:dyDescent="0.25">
      <c r="E4" s="45" t="s">
        <v>11</v>
      </c>
      <c r="F4" s="46"/>
      <c r="G4" s="46"/>
      <c r="H4" s="46"/>
      <c r="I4" s="47"/>
      <c r="J4" s="45" t="s">
        <v>13</v>
      </c>
      <c r="K4" s="46"/>
      <c r="L4" s="46"/>
      <c r="M4" s="45" t="s">
        <v>8</v>
      </c>
      <c r="N4" s="46"/>
      <c r="O4" s="46"/>
      <c r="P4" s="47"/>
    </row>
    <row r="5" spans="2:19" s="1" customFormat="1" ht="30" x14ac:dyDescent="0.25">
      <c r="B5" s="14" t="s">
        <v>0</v>
      </c>
      <c r="C5" s="14" t="s">
        <v>2</v>
      </c>
      <c r="D5" s="15" t="s">
        <v>15</v>
      </c>
      <c r="E5" s="17" t="s">
        <v>27</v>
      </c>
      <c r="F5" s="15" t="s">
        <v>16</v>
      </c>
      <c r="G5" s="15" t="s">
        <v>17</v>
      </c>
      <c r="H5" s="15" t="s">
        <v>18</v>
      </c>
      <c r="I5" s="15" t="s">
        <v>19</v>
      </c>
      <c r="J5" s="16" t="s">
        <v>9</v>
      </c>
      <c r="K5" s="14" t="s">
        <v>10</v>
      </c>
      <c r="L5" s="14" t="s">
        <v>12</v>
      </c>
      <c r="M5" s="16" t="s">
        <v>9</v>
      </c>
      <c r="N5" s="14" t="s">
        <v>10</v>
      </c>
      <c r="O5" s="14" t="s">
        <v>12</v>
      </c>
      <c r="P5" s="21" t="s">
        <v>21</v>
      </c>
    </row>
    <row r="6" spans="2:19" s="1" customFormat="1" x14ac:dyDescent="0.25">
      <c r="B6" t="s">
        <v>4</v>
      </c>
      <c r="C6" s="20">
        <v>17.600000000000001</v>
      </c>
      <c r="D6" s="20" t="s">
        <v>29</v>
      </c>
      <c r="E6" s="19"/>
      <c r="F6" s="9">
        <v>1500</v>
      </c>
      <c r="G6" s="2">
        <v>500</v>
      </c>
      <c r="H6" s="2">
        <f>F6+G6</f>
        <v>2000</v>
      </c>
      <c r="I6" s="2">
        <f>C6*H6</f>
        <v>35200</v>
      </c>
      <c r="J6" s="19"/>
      <c r="K6" s="26"/>
      <c r="L6" s="26">
        <v>17.600000000000001</v>
      </c>
      <c r="M6" s="24"/>
      <c r="N6" s="9"/>
      <c r="O6" s="40">
        <v>26400</v>
      </c>
      <c r="P6" s="35">
        <v>8800</v>
      </c>
      <c r="Q6" s="8"/>
      <c r="R6" s="8"/>
      <c r="S6" s="8">
        <f>SUM(M6:P6)</f>
        <v>35200</v>
      </c>
    </row>
    <row r="7" spans="2:19" s="1" customFormat="1" x14ac:dyDescent="0.25">
      <c r="B7"/>
      <c r="C7" s="20"/>
      <c r="D7" s="20" t="s">
        <v>26</v>
      </c>
      <c r="E7" s="41">
        <v>500</v>
      </c>
      <c r="F7" s="9"/>
      <c r="G7" s="2"/>
      <c r="H7" s="2">
        <f>E7/C6</f>
        <v>28.409090909090907</v>
      </c>
      <c r="I7" s="2">
        <f>E7</f>
        <v>500</v>
      </c>
      <c r="J7" s="19"/>
      <c r="K7" s="26"/>
      <c r="L7" s="26"/>
      <c r="M7" s="24"/>
      <c r="N7" s="9">
        <v>500</v>
      </c>
      <c r="O7" s="40"/>
      <c r="P7" s="35"/>
      <c r="Q7" s="8"/>
      <c r="R7" s="8"/>
      <c r="S7" s="8">
        <f t="shared" ref="S7:S17" si="0">SUM(M7:P7)</f>
        <v>500</v>
      </c>
    </row>
    <row r="8" spans="2:19" x14ac:dyDescent="0.25">
      <c r="B8" t="s">
        <v>1</v>
      </c>
      <c r="C8" s="20">
        <v>14.8</v>
      </c>
      <c r="D8" s="20" t="s">
        <v>30</v>
      </c>
      <c r="E8" s="41"/>
      <c r="F8" s="9">
        <v>1500</v>
      </c>
      <c r="G8" s="2">
        <v>500</v>
      </c>
      <c r="H8" s="2">
        <f t="shared" ref="H8:H16" si="1">F8+G8</f>
        <v>2000</v>
      </c>
      <c r="I8" s="2">
        <f t="shared" ref="I8:I16" si="2">C8*H8</f>
        <v>29600</v>
      </c>
      <c r="J8" s="19"/>
      <c r="K8" s="26">
        <v>14.8</v>
      </c>
      <c r="L8" s="26"/>
      <c r="M8" s="10"/>
      <c r="N8" s="9">
        <v>22200</v>
      </c>
      <c r="O8" s="9">
        <v>7400</v>
      </c>
      <c r="P8" s="36"/>
      <c r="R8" s="8"/>
      <c r="S8" s="8">
        <f t="shared" si="0"/>
        <v>29600</v>
      </c>
    </row>
    <row r="9" spans="2:19" x14ac:dyDescent="0.25">
      <c r="C9" s="20"/>
      <c r="D9" s="20" t="s">
        <v>26</v>
      </c>
      <c r="E9" s="41"/>
      <c r="F9" s="9"/>
      <c r="G9" s="2"/>
      <c r="H9" s="2"/>
      <c r="I9" s="2"/>
      <c r="J9" s="19"/>
      <c r="K9" s="26"/>
      <c r="L9" s="26"/>
      <c r="M9" s="10"/>
      <c r="N9" s="9"/>
      <c r="O9" s="9"/>
      <c r="P9" s="36"/>
      <c r="R9" s="8"/>
      <c r="S9" s="8">
        <f t="shared" si="0"/>
        <v>0</v>
      </c>
    </row>
    <row r="10" spans="2:19" x14ac:dyDescent="0.25">
      <c r="B10" t="s">
        <v>1</v>
      </c>
      <c r="C10" s="20">
        <v>2.2000000000000002</v>
      </c>
      <c r="D10" s="20" t="s">
        <v>32</v>
      </c>
      <c r="E10" s="41"/>
      <c r="F10" s="9">
        <v>7000</v>
      </c>
      <c r="G10" s="2">
        <v>500</v>
      </c>
      <c r="H10" s="2">
        <f t="shared" si="1"/>
        <v>7500</v>
      </c>
      <c r="I10" s="2">
        <f t="shared" si="2"/>
        <v>16500</v>
      </c>
      <c r="J10" s="19"/>
      <c r="K10" s="26">
        <v>2.2000000000000002</v>
      </c>
      <c r="L10" s="26"/>
      <c r="M10" s="10"/>
      <c r="N10" s="9">
        <v>15400</v>
      </c>
      <c r="O10" s="9">
        <v>1100</v>
      </c>
      <c r="P10" s="36"/>
      <c r="R10" s="8"/>
      <c r="S10" s="8">
        <f t="shared" si="0"/>
        <v>16500</v>
      </c>
    </row>
    <row r="11" spans="2:19" x14ac:dyDescent="0.25">
      <c r="C11" s="20"/>
      <c r="D11" s="20" t="s">
        <v>26</v>
      </c>
      <c r="E11" s="41">
        <v>500</v>
      </c>
      <c r="F11" s="9"/>
      <c r="G11" s="2"/>
      <c r="H11" s="2">
        <f>E11/(C8+C10)</f>
        <v>29.411764705882351</v>
      </c>
      <c r="I11" s="2">
        <f>E11</f>
        <v>500</v>
      </c>
      <c r="J11" s="19"/>
      <c r="K11" s="26"/>
      <c r="L11" s="26"/>
      <c r="M11" s="10"/>
      <c r="N11" s="9">
        <v>500</v>
      </c>
      <c r="O11" s="9"/>
      <c r="P11" s="36"/>
      <c r="R11" s="8"/>
      <c r="S11" s="8">
        <f t="shared" si="0"/>
        <v>500</v>
      </c>
    </row>
    <row r="12" spans="2:19" x14ac:dyDescent="0.25">
      <c r="B12" t="s">
        <v>3</v>
      </c>
      <c r="C12" s="20">
        <v>25.5</v>
      </c>
      <c r="D12" s="20" t="s">
        <v>30</v>
      </c>
      <c r="E12" s="41"/>
      <c r="F12" s="9">
        <v>1500</v>
      </c>
      <c r="G12" s="2">
        <v>500</v>
      </c>
      <c r="H12" s="2">
        <f t="shared" si="1"/>
        <v>2000</v>
      </c>
      <c r="I12" s="2">
        <f t="shared" si="2"/>
        <v>51000</v>
      </c>
      <c r="J12" s="19"/>
      <c r="K12" s="26">
        <v>25.5</v>
      </c>
      <c r="L12" s="26"/>
      <c r="M12" s="10"/>
      <c r="N12" s="9">
        <v>38250</v>
      </c>
      <c r="O12" s="9">
        <v>12750</v>
      </c>
      <c r="P12" s="36"/>
      <c r="R12" s="8"/>
      <c r="S12" s="8">
        <f t="shared" si="0"/>
        <v>51000</v>
      </c>
    </row>
    <row r="13" spans="2:19" x14ac:dyDescent="0.25">
      <c r="C13" s="20"/>
      <c r="D13" s="20" t="s">
        <v>26</v>
      </c>
      <c r="E13" s="41">
        <v>500</v>
      </c>
      <c r="F13" s="9"/>
      <c r="G13" s="2"/>
      <c r="H13" s="2">
        <f>E13/C12</f>
        <v>19.607843137254903</v>
      </c>
      <c r="I13" s="2">
        <f>E13</f>
        <v>500</v>
      </c>
      <c r="J13" s="19"/>
      <c r="K13" s="26"/>
      <c r="L13" s="26"/>
      <c r="M13" s="10"/>
      <c r="N13" s="9">
        <v>500</v>
      </c>
      <c r="O13" s="9"/>
      <c r="P13" s="36"/>
      <c r="R13" s="8"/>
      <c r="S13" s="8">
        <f t="shared" si="0"/>
        <v>500</v>
      </c>
    </row>
    <row r="14" spans="2:19" x14ac:dyDescent="0.25">
      <c r="B14" t="s">
        <v>5</v>
      </c>
      <c r="C14" s="20">
        <v>7.6</v>
      </c>
      <c r="D14" s="20" t="s">
        <v>32</v>
      </c>
      <c r="E14" s="41"/>
      <c r="F14" s="9">
        <v>7000</v>
      </c>
      <c r="G14" s="2">
        <v>500</v>
      </c>
      <c r="H14" s="2">
        <f t="shared" si="1"/>
        <v>7500</v>
      </c>
      <c r="I14" s="2">
        <f t="shared" si="2"/>
        <v>57000</v>
      </c>
      <c r="J14" s="19"/>
      <c r="K14" s="26">
        <v>7.6</v>
      </c>
      <c r="L14" s="26"/>
      <c r="M14" s="10"/>
      <c r="N14" s="9">
        <v>53200</v>
      </c>
      <c r="O14" s="9">
        <v>3800</v>
      </c>
      <c r="P14" s="36"/>
      <c r="R14" s="8"/>
      <c r="S14" s="8">
        <f t="shared" si="0"/>
        <v>57000</v>
      </c>
    </row>
    <row r="15" spans="2:19" x14ac:dyDescent="0.25">
      <c r="C15" s="20"/>
      <c r="D15" s="20" t="s">
        <v>26</v>
      </c>
      <c r="E15" s="41">
        <v>500</v>
      </c>
      <c r="F15" s="9"/>
      <c r="G15" s="2"/>
      <c r="H15" s="2">
        <f>E15/C14</f>
        <v>65.789473684210535</v>
      </c>
      <c r="I15" s="2">
        <f>E15</f>
        <v>500</v>
      </c>
      <c r="J15" s="19"/>
      <c r="K15" s="26"/>
      <c r="L15" s="26"/>
      <c r="M15" s="10"/>
      <c r="N15" s="9">
        <v>500</v>
      </c>
      <c r="O15" s="9"/>
      <c r="P15" s="36"/>
      <c r="R15" s="8"/>
      <c r="S15" s="8">
        <f t="shared" si="0"/>
        <v>500</v>
      </c>
    </row>
    <row r="16" spans="2:19" x14ac:dyDescent="0.25">
      <c r="B16" s="32" t="s">
        <v>6</v>
      </c>
      <c r="C16" s="26">
        <v>9.8000000000000007</v>
      </c>
      <c r="D16" s="20" t="s">
        <v>32</v>
      </c>
      <c r="E16" s="41"/>
      <c r="F16" s="9">
        <v>7000</v>
      </c>
      <c r="G16" s="9">
        <v>500</v>
      </c>
      <c r="H16" s="9">
        <f t="shared" si="1"/>
        <v>7500</v>
      </c>
      <c r="I16" s="9">
        <f t="shared" si="2"/>
        <v>73500</v>
      </c>
      <c r="J16" s="19"/>
      <c r="K16" s="26">
        <v>9.8000000000000007</v>
      </c>
      <c r="L16" s="26"/>
      <c r="M16" s="10"/>
      <c r="N16" s="9">
        <v>68600</v>
      </c>
      <c r="O16" s="9">
        <v>4900</v>
      </c>
      <c r="P16" s="36"/>
      <c r="R16" s="8"/>
      <c r="S16" s="8">
        <f t="shared" si="0"/>
        <v>73500</v>
      </c>
    </row>
    <row r="17" spans="2:19" x14ac:dyDescent="0.25">
      <c r="B17" s="4"/>
      <c r="C17" s="22"/>
      <c r="D17" s="22" t="s">
        <v>26</v>
      </c>
      <c r="E17" s="42">
        <v>500</v>
      </c>
      <c r="F17" s="5"/>
      <c r="G17" s="5"/>
      <c r="H17" s="5">
        <f>E17/C16</f>
        <v>51.020408163265301</v>
      </c>
      <c r="I17" s="30">
        <f>E17</f>
        <v>500</v>
      </c>
      <c r="J17" s="23"/>
      <c r="K17" s="22"/>
      <c r="L17" s="22"/>
      <c r="M17" s="18"/>
      <c r="N17" s="5">
        <v>500</v>
      </c>
      <c r="O17" s="5"/>
      <c r="P17" s="30"/>
      <c r="R17" s="8" t="s">
        <v>31</v>
      </c>
      <c r="S17" s="8">
        <f t="shared" si="0"/>
        <v>500</v>
      </c>
    </row>
    <row r="18" spans="2:19" x14ac:dyDescent="0.25">
      <c r="B18" s="6" t="s">
        <v>7</v>
      </c>
      <c r="C18" s="7">
        <f>SUM(C6:C16)</f>
        <v>77.5</v>
      </c>
      <c r="D18" s="7"/>
      <c r="E18" s="29"/>
      <c r="F18" s="13">
        <f>SUMPRODUCT($C$6:$C$17,F6:F17)/$C$18</f>
        <v>2890.9677419354839</v>
      </c>
      <c r="G18" s="13">
        <f>SUMPRODUCT($C$6:$C$17,G6:G17)/$C$18</f>
        <v>500</v>
      </c>
      <c r="H18" s="13">
        <f>SUMPRODUCT($C$6:$C$17,H6:H17)/$C$18</f>
        <v>3390.9677419354839</v>
      </c>
      <c r="I18" s="43">
        <f>SUM(I6:I17)</f>
        <v>265300</v>
      </c>
      <c r="J18" s="39">
        <f>SUM(J6:J17)</f>
        <v>0</v>
      </c>
      <c r="K18" s="7">
        <f>SUM(K6:K17)</f>
        <v>59.900000000000006</v>
      </c>
      <c r="L18" s="25">
        <f>SUM(L6:L17)</f>
        <v>17.600000000000001</v>
      </c>
      <c r="M18" s="12">
        <f t="shared" ref="M18" si="3">SUM(M6:M16)</f>
        <v>0</v>
      </c>
      <c r="N18" s="13">
        <f>SUM(N6:N17)</f>
        <v>200150</v>
      </c>
      <c r="O18" s="31">
        <f>SUM(O6:O17)</f>
        <v>56350</v>
      </c>
      <c r="P18" s="44">
        <f>SUM(P6:P17)</f>
        <v>8800</v>
      </c>
      <c r="Q18" s="34">
        <f>SUM(M18:P18)</f>
        <v>265300</v>
      </c>
      <c r="R18" s="27">
        <f>Q18/C18</f>
        <v>3423.2258064516127</v>
      </c>
      <c r="S18" s="27">
        <f>SUM(S6:S17)</f>
        <v>265300</v>
      </c>
    </row>
    <row r="19" spans="2:19" ht="7.5" customHeight="1" x14ac:dyDescent="0.25">
      <c r="M19" s="11"/>
      <c r="N19" s="32"/>
      <c r="O19" s="32"/>
      <c r="P19" s="38"/>
      <c r="Q19" s="32"/>
    </row>
    <row r="20" spans="2:19" x14ac:dyDescent="0.25">
      <c r="L20" s="6" t="s">
        <v>25</v>
      </c>
      <c r="M20" s="11"/>
      <c r="N20" s="31">
        <f>(N10+N14+N16)*0.1</f>
        <v>13720</v>
      </c>
      <c r="O20" s="31">
        <f>SUM(O8:O16)*0.1</f>
        <v>2995</v>
      </c>
      <c r="P20" s="37">
        <f>P18*0.1</f>
        <v>880</v>
      </c>
      <c r="Q20" s="34">
        <f>SUM(N20:P20)</f>
        <v>17595</v>
      </c>
      <c r="R20" s="27">
        <f>Q20/C18</f>
        <v>227.03225806451613</v>
      </c>
    </row>
    <row r="21" spans="2:19" x14ac:dyDescent="0.25">
      <c r="I21" s="28"/>
      <c r="J21" s="3"/>
      <c r="L21" s="6" t="s">
        <v>20</v>
      </c>
      <c r="M21" s="33">
        <f>M18*0.05</f>
        <v>0</v>
      </c>
      <c r="N21" s="31">
        <f>N18*0.03</f>
        <v>6004.5</v>
      </c>
      <c r="O21" s="31">
        <f>O18*0.03</f>
        <v>1690.5</v>
      </c>
      <c r="P21" s="37">
        <f>P18*0.03</f>
        <v>264</v>
      </c>
      <c r="Q21" s="34">
        <f>SUM(M21:P21)</f>
        <v>7959</v>
      </c>
      <c r="R21" s="27">
        <f>Q21/C18</f>
        <v>102.69677419354839</v>
      </c>
    </row>
    <row r="22" spans="2:19" x14ac:dyDescent="0.25">
      <c r="M22" s="11"/>
      <c r="N22" s="32"/>
      <c r="O22" s="32"/>
      <c r="P22" s="38"/>
      <c r="Q22" s="32"/>
    </row>
    <row r="23" spans="2:19" x14ac:dyDescent="0.25">
      <c r="L23" s="6" t="s">
        <v>7</v>
      </c>
      <c r="M23" s="33">
        <f>SUM(M18:M21)</f>
        <v>0</v>
      </c>
      <c r="N23" s="31">
        <f t="shared" ref="N23:O23" si="4">SUM(N18:N21)</f>
        <v>219874.5</v>
      </c>
      <c r="O23" s="31">
        <f t="shared" si="4"/>
        <v>61035.5</v>
      </c>
      <c r="P23" s="37">
        <f>SUM(P18:P22)</f>
        <v>9944</v>
      </c>
      <c r="Q23" s="34">
        <f>SUM(M23:P23)</f>
        <v>290854</v>
      </c>
      <c r="R23" s="27">
        <f>Q23/C18</f>
        <v>3752.9548387096775</v>
      </c>
    </row>
    <row r="25" spans="2:19" x14ac:dyDescent="0.25">
      <c r="M25" s="27" t="s">
        <v>22</v>
      </c>
      <c r="N25" s="27">
        <f>N10+N14+N16</f>
        <v>137200</v>
      </c>
      <c r="Q25" s="27">
        <f>SUM(N25:P25)</f>
        <v>137200</v>
      </c>
    </row>
    <row r="26" spans="2:19" x14ac:dyDescent="0.25">
      <c r="M26" t="s">
        <v>23</v>
      </c>
      <c r="N26" s="27">
        <f>N8+N12</f>
        <v>60450</v>
      </c>
      <c r="O26" s="27">
        <f>O6</f>
        <v>26400</v>
      </c>
      <c r="Q26" s="27">
        <f t="shared" ref="Q26:Q27" si="5">SUM(N26:P26)</f>
        <v>86850</v>
      </c>
    </row>
    <row r="27" spans="2:19" x14ac:dyDescent="0.25">
      <c r="M27" t="s">
        <v>24</v>
      </c>
      <c r="O27" s="27">
        <f>O8+O10+O12+O14+O16</f>
        <v>29950</v>
      </c>
      <c r="P27" s="27">
        <f>P6</f>
        <v>8800</v>
      </c>
      <c r="Q27" s="27">
        <f t="shared" si="5"/>
        <v>38750</v>
      </c>
    </row>
    <row r="28" spans="2:19" x14ac:dyDescent="0.25">
      <c r="M28" t="s">
        <v>28</v>
      </c>
      <c r="N28" s="27">
        <f>N7+N11+N13+N15+N17</f>
        <v>2500</v>
      </c>
      <c r="Q28" s="27">
        <f>SUM(N25:P28)</f>
        <v>265300</v>
      </c>
    </row>
    <row r="30" spans="2:19" x14ac:dyDescent="0.25">
      <c r="N30" s="27">
        <f>SUM(N25:N27)</f>
        <v>197650</v>
      </c>
      <c r="O30" s="27">
        <f t="shared" ref="O30:P30" si="6">SUM(O25:O27)</f>
        <v>56350</v>
      </c>
      <c r="P30" s="27">
        <f t="shared" si="6"/>
        <v>8800</v>
      </c>
    </row>
    <row r="31" spans="2:19" x14ac:dyDescent="0.25">
      <c r="Q31">
        <v>8685</v>
      </c>
    </row>
    <row r="32" spans="2:19" x14ac:dyDescent="0.25">
      <c r="Q32" s="27">
        <f>Q23+Q31</f>
        <v>299539</v>
      </c>
      <c r="R32">
        <f>Q25/Q32</f>
        <v>0.45803718380578157</v>
      </c>
    </row>
  </sheetData>
  <mergeCells count="3">
    <mergeCell ref="J4:L4"/>
    <mergeCell ref="E4:I4"/>
    <mergeCell ref="M4:P4"/>
  </mergeCells>
  <pageMargins left="0.7" right="0.7" top="0.75" bottom="0.75" header="0.3" footer="0.3"/>
  <pageSetup scale="50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2018-11-30T17:36:56Z</cp:lastPrinted>
  <dcterms:created xsi:type="dcterms:W3CDTF">2018-11-28T00:23:20Z</dcterms:created>
  <dcterms:modified xsi:type="dcterms:W3CDTF">2018-11-30T19:39:53Z</dcterms:modified>
</cp:coreProperties>
</file>